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visible" name="Cr &amp;Cd Reference" sheetId="2" r:id="rId5"/>
    <sheet state="hidden" name="Sheet10" sheetId="3" r:id="rId6"/>
  </sheets>
  <definedNames/>
  <calcPr/>
</workbook>
</file>

<file path=xl/sharedStrings.xml><?xml version="1.0" encoding="utf-8"?>
<sst xmlns="http://schemas.openxmlformats.org/spreadsheetml/2006/main" count="68" uniqueCount="67">
  <si>
    <t>* User can put input in B column and get the output</t>
  </si>
  <si>
    <t>Incase of any feedback kindly contact at varunrai842@gmail.com</t>
  </si>
  <si>
    <t>INPUTs</t>
  </si>
  <si>
    <t>Vehicle Force Calculation</t>
  </si>
  <si>
    <t>Final Output</t>
  </si>
  <si>
    <t>Gross Vehicle Weight(Kg)</t>
  </si>
  <si>
    <t>Acceleration(m/s^2)</t>
  </si>
  <si>
    <t>Fa(N)</t>
  </si>
  <si>
    <t>Speed Requirement(Km/hr)</t>
  </si>
  <si>
    <t>Vehicle front Area(m^2)</t>
  </si>
  <si>
    <t>Torque on motor(N)</t>
  </si>
  <si>
    <t>Acceleration time(sec)</t>
  </si>
  <si>
    <t>Velocity(m/sec)</t>
  </si>
  <si>
    <t>Fr(N)</t>
  </si>
  <si>
    <t>RPM On motor</t>
  </si>
  <si>
    <t>Vehicle Height(m)</t>
  </si>
  <si>
    <t>Total dia of wheel(m)</t>
  </si>
  <si>
    <t>Vehicle Width(m)</t>
  </si>
  <si>
    <t>Circumfrance of wheel(m)</t>
  </si>
  <si>
    <t>Fad(N)</t>
  </si>
  <si>
    <t>Tentative Motor Power(w)</t>
  </si>
  <si>
    <t>Ground Clearnance(m)</t>
  </si>
  <si>
    <t>Tire Width(mm)</t>
  </si>
  <si>
    <t>Fg(N)</t>
  </si>
  <si>
    <t>Current Consumption(A)</t>
  </si>
  <si>
    <t>Aspect ratio</t>
  </si>
  <si>
    <t>Rim dia(inch)</t>
  </si>
  <si>
    <t>Ft(N)</t>
  </si>
  <si>
    <t>Tentative Mileage(kms)</t>
  </si>
  <si>
    <t>Gradient angle(α)</t>
  </si>
  <si>
    <t>Gear ratio (In Hub motor case put 1: 1)</t>
  </si>
  <si>
    <t>Battery Voltage</t>
  </si>
  <si>
    <t>Torque on wheel(Nm)</t>
  </si>
  <si>
    <t>Battery Capacity</t>
  </si>
  <si>
    <t>RPM on wheel</t>
  </si>
  <si>
    <t>Constant</t>
  </si>
  <si>
    <t>Gravitational force(m/sec^2)</t>
  </si>
  <si>
    <t>Cr (Rolling of coeffiecient of tyre &amp; surface)</t>
  </si>
  <si>
    <t>Cd (Coefficient of drag)</t>
  </si>
  <si>
    <t>* this sheet is for rated power calculation F(a) is not considered in F(t)</t>
  </si>
  <si>
    <t>Contact Surface</t>
  </si>
  <si>
    <t>Cr</t>
  </si>
  <si>
    <t>Vehicle type</t>
  </si>
  <si>
    <t>Cd</t>
  </si>
  <si>
    <t>Contreter</t>
  </si>
  <si>
    <t>0.010 - 0.020</t>
  </si>
  <si>
    <t>2w</t>
  </si>
  <si>
    <t>0.5-1.0</t>
  </si>
  <si>
    <t>Asphalt</t>
  </si>
  <si>
    <t>0.012 - 0.022</t>
  </si>
  <si>
    <t>Car</t>
  </si>
  <si>
    <t>0.2-0.3</t>
  </si>
  <si>
    <t>Snow</t>
  </si>
  <si>
    <t>0.025 - 0.037</t>
  </si>
  <si>
    <t>SUV</t>
  </si>
  <si>
    <t>0.3-0.45</t>
  </si>
  <si>
    <t>Dirt</t>
  </si>
  <si>
    <t>Bus &amp; truck</t>
  </si>
  <si>
    <t>0.5-0.8</t>
  </si>
  <si>
    <t>Wood</t>
  </si>
  <si>
    <t>0.010 - 0.001</t>
  </si>
  <si>
    <t>Mud</t>
  </si>
  <si>
    <t>0.037 - 0.150</t>
  </si>
  <si>
    <t>Grass</t>
  </si>
  <si>
    <t>0.055 - 0.075</t>
  </si>
  <si>
    <t>Sand</t>
  </si>
  <si>
    <t>0.060 - 0.300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</si>
</sst>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6">
    <font>
      <sz val="10.0"/>
      <color rgb="FF000000"/>
      <name val="Arial"/>
      <scheme val="minor"/>
    </font>
    <font>
      <color theme="1"/>
      <name val="Arial"/>
      <scheme val="minor"/>
    </font>
    <font>
      <sz val="11.0"/>
      <color theme="1"/>
      <name val="Calibri"/>
    </font>
    <font>
      <b/>
      <sz val="11.0"/>
      <color theme="1"/>
      <name val="Calibri"/>
    </font>
    <font/>
    <font>
      <sz val="11.0"/>
      <color theme="1"/>
      <name val="Arial"/>
    </font>
  </fonts>
  <fills count="8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BDD6EE"/>
        <bgColor rgb="FFBDD6EE"/>
      </patternFill>
    </fill>
    <fill>
      <patternFill patternType="solid">
        <fgColor rgb="FFC5E0B3"/>
        <bgColor rgb="FFC5E0B3"/>
      </patternFill>
    </fill>
    <fill>
      <patternFill patternType="solid">
        <fgColor rgb="FFA8D08D"/>
        <bgColor rgb="FFA8D08D"/>
      </patternFill>
    </fill>
    <fill>
      <patternFill patternType="solid">
        <fgColor rgb="FFFFFF00"/>
        <bgColor rgb="FFFFFF00"/>
      </patternFill>
    </fill>
    <fill>
      <patternFill patternType="solid">
        <fgColor rgb="FF9CC2E5"/>
        <bgColor rgb="FF9CC2E5"/>
      </patternFill>
    </fill>
  </fills>
  <borders count="8">
    <border/>
    <border>
      <bottom style="thin">
        <color rgb="FF000000"/>
      </bottom>
    </border>
    <border>
      <right style="thin">
        <color rgb="FF000000"/>
      </right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</borders>
  <cellStyleXfs count="1">
    <xf borderId="0" fillId="0" fontId="0" numFmtId="0" applyAlignment="1" applyFont="1"/>
  </cellStyleXfs>
  <cellXfs count="3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vertical="bottom"/>
    </xf>
    <xf borderId="1" fillId="0" fontId="3" numFmtId="0" xfId="0" applyAlignment="1" applyBorder="1" applyFont="1">
      <alignment horizontal="center" vertical="bottom"/>
    </xf>
    <xf borderId="1" fillId="0" fontId="4" numFmtId="0" xfId="0" applyBorder="1" applyFont="1"/>
    <xf borderId="1" fillId="0" fontId="2" numFmtId="0" xfId="0" applyAlignment="1" applyBorder="1" applyFont="1">
      <alignment vertical="bottom"/>
    </xf>
    <xf borderId="2" fillId="0" fontId="2" numFmtId="0" xfId="0" applyAlignment="1" applyBorder="1" applyFont="1">
      <alignment vertical="bottom"/>
    </xf>
    <xf borderId="3" fillId="0" fontId="3" numFmtId="0" xfId="0" applyAlignment="1" applyBorder="1" applyFont="1">
      <alignment horizontal="center" vertical="bottom"/>
    </xf>
    <xf borderId="4" fillId="0" fontId="4" numFmtId="0" xfId="0" applyBorder="1" applyFont="1"/>
    <xf borderId="5" fillId="0" fontId="2" numFmtId="0" xfId="0" applyAlignment="1" applyBorder="1" applyFont="1">
      <alignment shrinkToFit="0" vertical="bottom" wrapText="1"/>
    </xf>
    <xf borderId="6" fillId="2" fontId="2" numFmtId="0" xfId="0" applyAlignment="1" applyBorder="1" applyFill="1" applyFont="1">
      <alignment horizontal="right" readingOrder="0" shrinkToFit="0" vertical="bottom" wrapText="1"/>
    </xf>
    <xf borderId="6" fillId="0" fontId="2" numFmtId="0" xfId="0" applyAlignment="1" applyBorder="1" applyFont="1">
      <alignment readingOrder="0" vertical="bottom"/>
    </xf>
    <xf borderId="6" fillId="3" fontId="2" numFmtId="2" xfId="0" applyAlignment="1" applyBorder="1" applyFill="1" applyFont="1" applyNumberFormat="1">
      <alignment horizontal="right" vertical="bottom"/>
    </xf>
    <xf borderId="6" fillId="0" fontId="2" numFmtId="0" xfId="0" applyAlignment="1" applyBorder="1" applyFont="1">
      <alignment vertical="bottom"/>
    </xf>
    <xf borderId="6" fillId="4" fontId="2" numFmtId="164" xfId="0" applyAlignment="1" applyBorder="1" applyFill="1" applyFont="1" applyNumberFormat="1">
      <alignment horizontal="right" vertical="bottom"/>
    </xf>
    <xf borderId="1" fillId="0" fontId="2" numFmtId="164" xfId="0" applyAlignment="1" applyBorder="1" applyFont="1" applyNumberFormat="1">
      <alignment vertical="bottom"/>
    </xf>
    <xf borderId="6" fillId="0" fontId="3" numFmtId="0" xfId="0" applyAlignment="1" applyBorder="1" applyFont="1">
      <alignment vertical="bottom"/>
    </xf>
    <xf borderId="6" fillId="5" fontId="3" numFmtId="1" xfId="0" applyAlignment="1" applyBorder="1" applyFill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5" fillId="0" fontId="2" numFmtId="0" xfId="0" applyAlignment="1" applyBorder="1" applyFont="1">
      <alignment readingOrder="0" shrinkToFit="0" vertical="bottom" wrapText="1"/>
    </xf>
    <xf borderId="6" fillId="0" fontId="3" numFmtId="0" xfId="0" applyAlignment="1" applyBorder="1" applyFont="1">
      <alignment readingOrder="0" vertical="bottom"/>
    </xf>
    <xf borderId="1" fillId="0" fontId="3" numFmtId="164" xfId="0" applyAlignment="1" applyBorder="1" applyFont="1" applyNumberFormat="1">
      <alignment vertical="bottom"/>
    </xf>
    <xf borderId="6" fillId="5" fontId="3" numFmtId="164" xfId="0" applyAlignment="1" applyBorder="1" applyFont="1" applyNumberFormat="1">
      <alignment horizontal="right" vertical="bottom"/>
    </xf>
    <xf borderId="6" fillId="2" fontId="5" numFmtId="1" xfId="0" applyAlignment="1" applyBorder="1" applyFont="1" applyNumberFormat="1">
      <alignment horizontal="right" readingOrder="0" shrinkToFit="0" vertical="bottom" wrapText="1"/>
    </xf>
    <xf borderId="0" fillId="0" fontId="2" numFmtId="164" xfId="0" applyAlignment="1" applyFont="1" applyNumberFormat="1">
      <alignment vertical="bottom"/>
    </xf>
    <xf borderId="2" fillId="0" fontId="2" numFmtId="0" xfId="0" applyAlignment="1" applyBorder="1" applyFont="1">
      <alignment readingOrder="0" shrinkToFit="0" vertical="bottom" wrapText="1"/>
    </xf>
    <xf borderId="6" fillId="2" fontId="5" numFmtId="0" xfId="0" applyAlignment="1" applyBorder="1" applyFont="1">
      <alignment horizontal="right" readingOrder="0" shrinkToFit="0" vertical="bottom" wrapText="1"/>
    </xf>
    <xf borderId="6" fillId="6" fontId="2" numFmtId="0" xfId="0" applyAlignment="1" applyBorder="1" applyFill="1" applyFont="1">
      <alignment horizontal="right" shrinkToFit="0" vertical="bottom" wrapText="1"/>
    </xf>
    <xf borderId="6" fillId="0" fontId="4" numFmtId="0" xfId="0" applyBorder="1" applyFont="1"/>
    <xf borderId="1" fillId="7" fontId="2" numFmtId="0" xfId="0" applyAlignment="1" applyBorder="1" applyFill="1" applyFont="1">
      <alignment horizontal="center" shrinkToFit="0" vertical="bottom" wrapText="1"/>
    </xf>
    <xf borderId="6" fillId="4" fontId="3" numFmtId="1" xfId="0" applyAlignment="1" applyBorder="1" applyFont="1" applyNumberFormat="1">
      <alignment horizontal="right" vertical="bottom"/>
    </xf>
    <xf borderId="7" fillId="0" fontId="2" numFmtId="0" xfId="0" applyAlignment="1" applyBorder="1" applyFont="1">
      <alignment horizontal="center" shrinkToFit="0" vertical="bottom" wrapText="1"/>
    </xf>
    <xf borderId="6" fillId="3" fontId="2" numFmtId="0" xfId="0" applyAlignment="1" applyBorder="1" applyFont="1">
      <alignment horizontal="right" shrinkToFit="0" vertical="bottom" wrapText="1"/>
    </xf>
    <xf borderId="6" fillId="3" fontId="2" numFmtId="0" xfId="0" applyAlignment="1" applyBorder="1" applyFont="1">
      <alignment horizontal="right" readingOrder="0" shrinkToFit="0" vertical="bottom" wrapText="1"/>
    </xf>
    <xf borderId="0" fillId="0" fontId="2" numFmtId="0" xfId="0" applyAlignment="1" applyFont="1">
      <alignment readingOrder="0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8.png"/><Relationship Id="rId3" Type="http://schemas.openxmlformats.org/officeDocument/2006/relationships/image" Target="../media/image7.png"/><Relationship Id="rId4" Type="http://schemas.openxmlformats.org/officeDocument/2006/relationships/image" Target="../media/image5.png"/><Relationship Id="rId5" Type="http://schemas.openxmlformats.org/officeDocument/2006/relationships/image" Target="../media/image9.png"/><Relationship Id="rId6" Type="http://schemas.openxmlformats.org/officeDocument/2006/relationships/image" Target="../media/image2.png"/><Relationship Id="rId7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85725</xdr:colOff>
      <xdr:row>8</xdr:row>
      <xdr:rowOff>38100</xdr:rowOff>
    </xdr:from>
    <xdr:ext cx="3228975" cy="3057525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104775</xdr:colOff>
      <xdr:row>0</xdr:row>
      <xdr:rowOff>0</xdr:rowOff>
    </xdr:from>
    <xdr:ext cx="4286250" cy="4029075"/>
    <xdr:pic>
      <xdr:nvPicPr>
        <xdr:cNvPr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-200025</xdr:rowOff>
    </xdr:from>
    <xdr:ext cx="6762750" cy="3800475"/>
    <xdr:pic>
      <xdr:nvPicPr>
        <xdr:cNvPr id="0" name="image1.png" title="Gambar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1</xdr:row>
      <xdr:rowOff>-200025</xdr:rowOff>
    </xdr:from>
    <xdr:ext cx="6762750" cy="3800475"/>
    <xdr:pic>
      <xdr:nvPicPr>
        <xdr:cNvPr id="0" name="image8.png" title="Gambar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38100</xdr:rowOff>
    </xdr:from>
    <xdr:ext cx="6829425" cy="3800475"/>
    <xdr:pic>
      <xdr:nvPicPr>
        <xdr:cNvPr id="0" name="image7.png" title="Gambar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190500</xdr:colOff>
      <xdr:row>19</xdr:row>
      <xdr:rowOff>38100</xdr:rowOff>
    </xdr:from>
    <xdr:ext cx="7562850" cy="4248150"/>
    <xdr:pic>
      <xdr:nvPicPr>
        <xdr:cNvPr id="0" name="image5.png" title="Gambar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76200</xdr:rowOff>
    </xdr:from>
    <xdr:ext cx="6829425" cy="3838575"/>
    <xdr:pic>
      <xdr:nvPicPr>
        <xdr:cNvPr id="0" name="image9.png" title="Gambar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914400</xdr:colOff>
      <xdr:row>50</xdr:row>
      <xdr:rowOff>-200025</xdr:rowOff>
    </xdr:from>
    <xdr:ext cx="14401800" cy="8105775"/>
    <xdr:pic>
      <xdr:nvPicPr>
        <xdr:cNvPr id="0" name="image2.png" title="Gambar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333375</xdr:colOff>
      <xdr:row>150</xdr:row>
      <xdr:rowOff>133350</xdr:rowOff>
    </xdr:from>
    <xdr:ext cx="10544175" cy="5934075"/>
    <xdr:pic>
      <xdr:nvPicPr>
        <xdr:cNvPr id="0" name="image6.png" title="Gambar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0.38"/>
    <col customWidth="1" min="4" max="4" width="20.38"/>
    <col customWidth="1" min="7" max="7" width="17.5"/>
    <col customWidth="1" min="10" max="10" width="21.0"/>
  </cols>
  <sheetData>
    <row r="1">
      <c r="A1" s="1" t="s">
        <v>0</v>
      </c>
      <c r="B1" s="2"/>
      <c r="C1" s="2"/>
      <c r="D1" s="3" t="s">
        <v>1</v>
      </c>
      <c r="E1" s="4"/>
      <c r="F1" s="4"/>
      <c r="G1" s="2"/>
      <c r="H1" s="2"/>
      <c r="I1" s="4"/>
      <c r="J1" s="2"/>
      <c r="K1" s="2"/>
    </row>
    <row r="2">
      <c r="A2" s="5" t="s">
        <v>2</v>
      </c>
      <c r="B2" s="6"/>
      <c r="C2" s="6"/>
      <c r="D2" s="7"/>
      <c r="E2" s="7"/>
      <c r="F2" s="8"/>
      <c r="G2" s="9" t="s">
        <v>3</v>
      </c>
      <c r="H2" s="10"/>
      <c r="I2" s="8"/>
      <c r="J2" s="9" t="s">
        <v>4</v>
      </c>
      <c r="K2" s="10"/>
    </row>
    <row r="3">
      <c r="A3" s="11" t="s">
        <v>5</v>
      </c>
      <c r="B3" s="12">
        <v>200.0</v>
      </c>
      <c r="C3" s="8"/>
      <c r="D3" s="13" t="s">
        <v>6</v>
      </c>
      <c r="E3" s="14">
        <f>(B4*1000)/(B5*3600)</f>
        <v>1.111111111</v>
      </c>
      <c r="F3" s="8"/>
      <c r="G3" s="15" t="s">
        <v>7</v>
      </c>
      <c r="H3" s="16">
        <f>B3*E3</f>
        <v>222.2222222</v>
      </c>
      <c r="I3" s="4"/>
      <c r="J3" s="7"/>
      <c r="K3" s="7"/>
    </row>
    <row r="4">
      <c r="A4" s="11" t="s">
        <v>8</v>
      </c>
      <c r="B4" s="12">
        <v>20.0</v>
      </c>
      <c r="C4" s="8"/>
      <c r="D4" s="15" t="s">
        <v>9</v>
      </c>
      <c r="E4" s="14">
        <f>(B6-B8)*B7</f>
        <v>3.4</v>
      </c>
      <c r="F4" s="4"/>
      <c r="G4" s="7"/>
      <c r="H4" s="17"/>
      <c r="I4" s="8"/>
      <c r="J4" s="18" t="s">
        <v>10</v>
      </c>
      <c r="K4" s="19">
        <f>H15/B14</f>
        <v>172.6413499</v>
      </c>
    </row>
    <row r="5">
      <c r="A5" s="11" t="s">
        <v>11</v>
      </c>
      <c r="B5" s="12">
        <v>5.0</v>
      </c>
      <c r="C5" s="8"/>
      <c r="D5" s="15" t="s">
        <v>12</v>
      </c>
      <c r="E5" s="14">
        <f>B4*1000/3600</f>
        <v>5.555555556</v>
      </c>
      <c r="F5" s="8"/>
      <c r="G5" s="15" t="s">
        <v>13</v>
      </c>
      <c r="H5" s="16">
        <f>B3*B18*B19*(COS(0.01745*B12))</f>
        <v>77.89524239</v>
      </c>
      <c r="I5" s="8"/>
      <c r="J5" s="18" t="s">
        <v>14</v>
      </c>
      <c r="K5" s="19">
        <f>H16*B14</f>
        <v>112.418842</v>
      </c>
    </row>
    <row r="6">
      <c r="A6" s="11" t="s">
        <v>15</v>
      </c>
      <c r="B6" s="12">
        <v>2.0</v>
      </c>
      <c r="C6" s="8"/>
      <c r="D6" s="15" t="s">
        <v>16</v>
      </c>
      <c r="E6" s="14">
        <f>((B11*25.4)+2*(B9*B10/100))/1000</f>
        <v>0.9443</v>
      </c>
      <c r="F6" s="4"/>
      <c r="G6" s="7"/>
      <c r="H6" s="17"/>
      <c r="I6" s="4"/>
      <c r="J6" s="20"/>
      <c r="K6" s="20"/>
    </row>
    <row r="7">
      <c r="A7" s="21" t="s">
        <v>17</v>
      </c>
      <c r="B7" s="12">
        <v>2.0</v>
      </c>
      <c r="C7" s="8"/>
      <c r="D7" s="15" t="s">
        <v>18</v>
      </c>
      <c r="E7" s="14">
        <f>3.14*E6</f>
        <v>2.965102</v>
      </c>
      <c r="F7" s="8"/>
      <c r="G7" s="15" t="s">
        <v>19</v>
      </c>
      <c r="H7" s="16">
        <f>0.5*1.16*B20*E4*E5*E5</f>
        <v>48.69135802</v>
      </c>
      <c r="I7" s="8"/>
      <c r="J7" s="22" t="s">
        <v>20</v>
      </c>
      <c r="K7" s="19">
        <f>((2*3.14*K5*K4)/60)</f>
        <v>2031.385387</v>
      </c>
    </row>
    <row r="8">
      <c r="A8" s="11" t="s">
        <v>21</v>
      </c>
      <c r="B8" s="12">
        <v>0.3</v>
      </c>
      <c r="C8" s="4"/>
      <c r="D8" s="4"/>
      <c r="E8" s="4"/>
      <c r="F8" s="4"/>
      <c r="G8" s="7"/>
      <c r="H8" s="17"/>
      <c r="I8" s="4"/>
      <c r="J8" s="20"/>
      <c r="K8" s="23"/>
    </row>
    <row r="9">
      <c r="A9" s="11" t="s">
        <v>22</v>
      </c>
      <c r="B9" s="12">
        <v>383.5</v>
      </c>
      <c r="C9" s="4"/>
      <c r="D9" s="4"/>
      <c r="E9" s="4"/>
      <c r="F9" s="8"/>
      <c r="G9" s="15" t="s">
        <v>23</v>
      </c>
      <c r="H9" s="16">
        <f>B3*B18*SIN(0.01745*B12)</f>
        <v>239.0627693</v>
      </c>
      <c r="I9" s="8"/>
      <c r="J9" s="18" t="s">
        <v>24</v>
      </c>
      <c r="K9" s="24">
        <f>(K7*1.1)/B15</f>
        <v>46.55258179</v>
      </c>
    </row>
    <row r="10">
      <c r="A10" s="11" t="s">
        <v>25</v>
      </c>
      <c r="B10" s="12">
        <v>90.0</v>
      </c>
      <c r="C10" s="4"/>
      <c r="D10" s="4"/>
      <c r="E10" s="4"/>
      <c r="F10" s="4"/>
      <c r="G10" s="7"/>
      <c r="H10" s="17"/>
      <c r="I10" s="4"/>
      <c r="J10" s="20"/>
      <c r="K10" s="23"/>
    </row>
    <row r="11">
      <c r="A11" s="11" t="s">
        <v>26</v>
      </c>
      <c r="B11" s="12">
        <v>10.0</v>
      </c>
      <c r="C11" s="4"/>
      <c r="D11" s="4"/>
      <c r="E11" s="4"/>
      <c r="F11" s="8"/>
      <c r="G11" s="15" t="s">
        <v>27</v>
      </c>
      <c r="H11" s="16">
        <f>H5+H7+H9</f>
        <v>365.6493697</v>
      </c>
      <c r="I11" s="8"/>
      <c r="J11" s="22" t="s">
        <v>28</v>
      </c>
      <c r="K11" s="19">
        <f>(B16/K9)*B4</f>
        <v>4.296217144</v>
      </c>
    </row>
    <row r="12">
      <c r="A12" s="11" t="s">
        <v>29</v>
      </c>
      <c r="B12" s="25">
        <v>7.0</v>
      </c>
      <c r="C12" s="7"/>
      <c r="D12" s="4"/>
      <c r="E12" s="4"/>
      <c r="F12" s="4"/>
      <c r="G12" s="4"/>
      <c r="H12" s="26"/>
      <c r="I12" s="4"/>
      <c r="J12" s="4"/>
      <c r="K12" s="4"/>
    </row>
    <row r="13">
      <c r="A13" s="27" t="s">
        <v>30</v>
      </c>
      <c r="B13" s="28">
        <v>1.0</v>
      </c>
      <c r="C13" s="29">
        <v>1.0</v>
      </c>
      <c r="D13" s="4"/>
      <c r="E13" s="4"/>
      <c r="F13" s="4"/>
      <c r="G13" s="4"/>
      <c r="H13" s="4"/>
      <c r="I13" s="4"/>
      <c r="J13" s="4"/>
      <c r="K13" s="4"/>
    </row>
    <row r="14">
      <c r="A14" s="30"/>
      <c r="B14" s="31">
        <f>B13/C13</f>
        <v>1</v>
      </c>
      <c r="C14" s="30"/>
      <c r="D14" s="4"/>
      <c r="E14" s="4"/>
      <c r="F14" s="4"/>
      <c r="G14" s="7"/>
      <c r="H14" s="17"/>
      <c r="I14" s="4"/>
      <c r="J14" s="4"/>
      <c r="K14" s="4"/>
    </row>
    <row r="15">
      <c r="A15" s="11" t="s">
        <v>31</v>
      </c>
      <c r="B15" s="12">
        <v>48.0</v>
      </c>
      <c r="C15" s="4"/>
      <c r="D15" s="4"/>
      <c r="E15" s="4"/>
      <c r="F15" s="8"/>
      <c r="G15" s="18" t="s">
        <v>32</v>
      </c>
      <c r="H15" s="32">
        <f>H11*E6/2</f>
        <v>172.6413499</v>
      </c>
      <c r="I15" s="4"/>
      <c r="J15" s="4"/>
      <c r="K15" s="4"/>
    </row>
    <row r="16">
      <c r="A16" s="11" t="s">
        <v>33</v>
      </c>
      <c r="B16" s="12">
        <v>10.0</v>
      </c>
      <c r="C16" s="4"/>
      <c r="D16" s="4"/>
      <c r="E16" s="4"/>
      <c r="F16" s="8"/>
      <c r="G16" s="18" t="s">
        <v>34</v>
      </c>
      <c r="H16" s="32">
        <f>(B4*1000)/(E7*60)</f>
        <v>112.418842</v>
      </c>
      <c r="I16" s="4"/>
      <c r="J16" s="4"/>
      <c r="K16" s="4"/>
    </row>
    <row r="17">
      <c r="A17" s="33" t="s">
        <v>35</v>
      </c>
      <c r="B17" s="30"/>
      <c r="C17" s="4"/>
      <c r="D17" s="4"/>
      <c r="E17" s="4"/>
      <c r="F17" s="4"/>
      <c r="G17" s="4"/>
      <c r="H17" s="4"/>
      <c r="I17" s="4"/>
      <c r="J17" s="4"/>
      <c r="K17" s="4"/>
    </row>
    <row r="18">
      <c r="A18" s="11" t="s">
        <v>36</v>
      </c>
      <c r="B18" s="34">
        <v>9.81</v>
      </c>
      <c r="C18" s="4"/>
      <c r="D18" s="4"/>
      <c r="E18" s="4"/>
      <c r="F18" s="4"/>
      <c r="G18" s="4"/>
      <c r="H18" s="4"/>
      <c r="I18" s="4"/>
      <c r="J18" s="4"/>
      <c r="K18" s="4"/>
    </row>
    <row r="19">
      <c r="A19" s="11" t="s">
        <v>37</v>
      </c>
      <c r="B19" s="35">
        <v>0.04</v>
      </c>
      <c r="C19" s="4"/>
      <c r="D19" s="4"/>
      <c r="E19" s="4"/>
      <c r="F19" s="4"/>
      <c r="G19" s="4"/>
      <c r="H19" s="4"/>
      <c r="I19" s="4"/>
      <c r="J19" s="4"/>
      <c r="K19" s="4"/>
    </row>
    <row r="20">
      <c r="A20" s="11" t="s">
        <v>38</v>
      </c>
      <c r="B20" s="35">
        <v>0.8</v>
      </c>
      <c r="C20" s="4"/>
      <c r="D20" s="4"/>
      <c r="E20" s="4"/>
      <c r="F20" s="4"/>
      <c r="G20" s="4"/>
      <c r="H20" s="4"/>
      <c r="I20" s="4"/>
      <c r="J20" s="4"/>
      <c r="K20" s="4"/>
    </row>
    <row r="2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>
      <c r="A22" s="36" t="s">
        <v>39</v>
      </c>
      <c r="E22" s="4"/>
      <c r="F22" s="4"/>
      <c r="G22" s="4"/>
      <c r="H22" s="4"/>
      <c r="I22" s="4"/>
      <c r="J22" s="4"/>
      <c r="K22" s="4"/>
    </row>
  </sheetData>
  <mergeCells count="7">
    <mergeCell ref="A2:C2"/>
    <mergeCell ref="G2:H2"/>
    <mergeCell ref="J2:K2"/>
    <mergeCell ref="A13:A14"/>
    <mergeCell ref="B14:C14"/>
    <mergeCell ref="A17:B17"/>
    <mergeCell ref="A22:D22"/>
  </mergeCells>
  <dataValidations>
    <dataValidation type="decimal" operator="greaterThan" allowBlank="1" showDropDown="1" showErrorMessage="1" sqref="B3:B12 B13:C13 B15:B16">
      <formula1>0.1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0.88"/>
    <col customWidth="1" min="4" max="4" width="14.63"/>
  </cols>
  <sheetData>
    <row r="2">
      <c r="A2" s="1" t="s">
        <v>40</v>
      </c>
      <c r="B2" s="1" t="s">
        <v>41</v>
      </c>
      <c r="D2" s="1" t="s">
        <v>42</v>
      </c>
      <c r="E2" s="1" t="s">
        <v>43</v>
      </c>
    </row>
    <row r="3">
      <c r="A3" s="1" t="s">
        <v>44</v>
      </c>
      <c r="B3" s="1" t="s">
        <v>45</v>
      </c>
      <c r="D3" s="1" t="s">
        <v>46</v>
      </c>
      <c r="E3" s="1" t="s">
        <v>47</v>
      </c>
    </row>
    <row r="4">
      <c r="A4" s="1" t="s">
        <v>48</v>
      </c>
      <c r="B4" s="1" t="s">
        <v>49</v>
      </c>
      <c r="D4" s="1" t="s">
        <v>50</v>
      </c>
      <c r="E4" s="1" t="s">
        <v>51</v>
      </c>
    </row>
    <row r="5">
      <c r="A5" s="1" t="s">
        <v>52</v>
      </c>
      <c r="B5" s="1" t="s">
        <v>53</v>
      </c>
      <c r="D5" s="1" t="s">
        <v>54</v>
      </c>
      <c r="E5" s="1" t="s">
        <v>55</v>
      </c>
    </row>
    <row r="6">
      <c r="A6" s="1" t="s">
        <v>56</v>
      </c>
      <c r="B6" s="1" t="s">
        <v>53</v>
      </c>
      <c r="D6" s="1" t="s">
        <v>57</v>
      </c>
      <c r="E6" s="1" t="s">
        <v>58</v>
      </c>
    </row>
    <row r="7">
      <c r="A7" s="1" t="s">
        <v>59</v>
      </c>
      <c r="B7" s="1" t="s">
        <v>60</v>
      </c>
    </row>
    <row r="8">
      <c r="A8" s="1" t="s">
        <v>61</v>
      </c>
      <c r="B8" s="1" t="s">
        <v>62</v>
      </c>
    </row>
    <row r="9">
      <c r="A9" s="1" t="s">
        <v>63</v>
      </c>
      <c r="B9" s="1" t="s">
        <v>64</v>
      </c>
    </row>
    <row r="10">
      <c r="A10" s="1" t="s">
        <v>65</v>
      </c>
      <c r="B10" s="1" t="s">
        <v>66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